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5"/>
  <workbookPr/>
  <mc:AlternateContent xmlns:mc="http://schemas.openxmlformats.org/markup-compatibility/2006">
    <mc:Choice Requires="x15">
      <x15ac:absPath xmlns:x15ac="http://schemas.microsoft.com/office/spreadsheetml/2010/11/ac" url="https://veriteresearch.sharepoint.com/sites/Econ/Econ Files/Econ_Public Finance Platform/PFP_Infographic_Translations/Pfp_Initial_translations/Ali_Translations/PF Website Data Sets/PF website/Complete/P.03/"/>
    </mc:Choice>
  </mc:AlternateContent>
  <xr:revisionPtr revIDLastSave="105" documentId="11_806392C56E521C74543A174A710E854C11F8683D" xr6:coauthVersionLast="47" xr6:coauthVersionMax="47" xr10:uidLastSave="{224069FB-8AA9-4EED-90B0-5A6422182DD7}"/>
  <bookViews>
    <workbookView xWindow="-108" yWindow="-108" windowWidth="23256" windowHeight="12576" tabRatio="500" xr2:uid="{00000000-000D-0000-FFFF-FFFF00000000}"/>
  </bookViews>
  <sheets>
    <sheet name="P.03" sheetId="1" r:id="rId1"/>
  </sheets>
  <externalReferences>
    <externalReference r:id="rId2"/>
    <externalReference r:id="rId3"/>
    <externalReference r:id="rId4"/>
  </externalReferences>
  <definedNames>
    <definedName name="__BAS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hidden="1">[1]A!#REF!</definedName>
    <definedName name="_8__123Graph_BCHART_4" hidden="1">[1]A!#REF!</definedName>
    <definedName name="_9__123Graph_CCHART_14" hidden="1">[1]A!#REF!</definedName>
    <definedName name="_BAS1">[1]A!#REF!</definedName>
    <definedName name="_TAB1">[1]A!#REF!</definedName>
    <definedName name="_TAB2">[1]A!$B$6:$H$113</definedName>
    <definedName name="aa">#REF!</definedName>
    <definedName name="aaaaaa">#REF!</definedName>
    <definedName name="ad">#REF!</definedName>
    <definedName name="asd">#REF!</definedName>
    <definedName name="ass">#REF!</definedName>
    <definedName name="Bass">#REF!</definedName>
    <definedName name="bb">#REF!</definedName>
    <definedName name="Date">#REF!</definedName>
    <definedName name="eeee" hidden="1">[1]A!#REF!</definedName>
    <definedName name="Excel_BuiltIn_Print_Area_1_1">#REF!</definedName>
    <definedName name="fffffffffffffffffffffff">#REF!</definedName>
    <definedName name="ffgfgg">[1]A!#REF!</definedName>
    <definedName name="G1_">#N/A</definedName>
    <definedName name="ggggg">#REF!</definedName>
    <definedName name="ghgj">#REF!</definedName>
    <definedName name="hahahahahahahahaha">#REF!</definedName>
    <definedName name="hhhhh">#REF!</definedName>
    <definedName name="iiii" hidden="1">[1]A!#REF!</definedName>
    <definedName name="Link">'[2]Index (2)'!#REF!</definedName>
    <definedName name="lllll" hidden="1">[1]A!#REF!</definedName>
    <definedName name="mmmm">#REF!</definedName>
    <definedName name="Notes">#REF!</definedName>
    <definedName name="Notes2">#REF!</definedName>
    <definedName name="_xlnm.Print_Area">#REF!</definedName>
    <definedName name="Range_Columns">#REF!</definedName>
    <definedName name="Range_Country">#REF!</definedName>
    <definedName name="Range_DownloadAnnual">#REF!</definedName>
    <definedName name="Range_DownloadDateTime">#REF!</definedName>
    <definedName name="Range_DownloadMonth">#REF!</definedName>
    <definedName name="Range_DownloadQuarter">#REF!</definedName>
    <definedName name="Range_ReportFormName">#REF!</definedName>
    <definedName name="Range_Rows">#REF!</definedName>
    <definedName name="Range_SheetName">#REF!</definedName>
    <definedName name="Range_TotalDownloadPeriod">#REF!</definedName>
    <definedName name="Range_VersionControl">#REF!</definedName>
    <definedName name="Reporting_CountryCode">[3]Control!$B$28</definedName>
    <definedName name="rewr">#REF!</definedName>
    <definedName name="rrrr">#REF!</definedName>
    <definedName name="rrrrr">#REF!</definedName>
    <definedName name="S">[1]A!#REF!</definedName>
    <definedName name="saccc">#REF!</definedName>
    <definedName name="sdcs" hidden="1">[1]A!#REF!</definedName>
    <definedName name="ss" hidden="1">[1]A!#REF!</definedName>
    <definedName name="sss">#REF!</definedName>
    <definedName name="ssss">#REF!</definedName>
    <definedName name="sssss" hidden="1">[1]A!#REF!</definedName>
    <definedName name="Tourism_Arrivals">#REF!</definedName>
    <definedName name="vb">#REF!</definedName>
    <definedName name="vsvsv">#REF!</definedName>
    <definedName name="vv" hidden="1">[1]A!#REF!</definedName>
    <definedName name="vvfvvvv">#REF!</definedName>
    <definedName name="wwfwfwf">#REF!</definedName>
    <definedName name="www">#REF!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6" i="1" l="1"/>
  <c r="U26" i="1"/>
  <c r="R26" i="1"/>
  <c r="S26" i="1"/>
  <c r="P20" i="1"/>
  <c r="P24" i="1"/>
  <c r="P25" i="1"/>
  <c r="P26" i="1"/>
  <c r="P27" i="1"/>
  <c r="P31" i="1"/>
  <c r="P32" i="1"/>
  <c r="P35" i="1"/>
  <c r="P36" i="1"/>
  <c r="P37" i="1"/>
  <c r="P38" i="1"/>
  <c r="P39" i="1"/>
  <c r="P40" i="1"/>
  <c r="P43" i="1"/>
  <c r="P45" i="1"/>
  <c r="Q20" i="1"/>
  <c r="Q24" i="1"/>
  <c r="Q25" i="1"/>
  <c r="Q26" i="1"/>
  <c r="Q27" i="1"/>
  <c r="Q31" i="1"/>
  <c r="Q32" i="1"/>
  <c r="Q35" i="1"/>
  <c r="Q36" i="1"/>
  <c r="Q37" i="1"/>
  <c r="Q38" i="1"/>
  <c r="Q39" i="1"/>
  <c r="Q40" i="1"/>
  <c r="Q45" i="1"/>
  <c r="N24" i="1"/>
  <c r="O24" i="1"/>
  <c r="J20" i="1"/>
  <c r="J21" i="1"/>
  <c r="J25" i="1"/>
  <c r="J26" i="1"/>
  <c r="J28" i="1"/>
  <c r="J29" i="1"/>
  <c r="J30" i="1"/>
  <c r="J32" i="1"/>
  <c r="J33" i="1"/>
  <c r="J34" i="1"/>
  <c r="J35" i="1"/>
  <c r="J36" i="1"/>
  <c r="J37" i="1"/>
  <c r="J38" i="1"/>
  <c r="J39" i="1"/>
  <c r="J40" i="1"/>
  <c r="J43" i="1"/>
  <c r="J45" i="1"/>
  <c r="K20" i="1"/>
  <c r="K25" i="1"/>
  <c r="K26" i="1"/>
  <c r="K29" i="1"/>
  <c r="K30" i="1"/>
  <c r="K32" i="1"/>
  <c r="K33" i="1"/>
  <c r="K35" i="1"/>
  <c r="K37" i="1"/>
  <c r="H20" i="1"/>
  <c r="H21" i="1"/>
  <c r="H23" i="1"/>
  <c r="H25" i="1"/>
  <c r="H26" i="1"/>
  <c r="H28" i="1"/>
  <c r="H29" i="1"/>
  <c r="H30" i="1"/>
  <c r="H32" i="1"/>
  <c r="H33" i="1"/>
  <c r="H35" i="1"/>
  <c r="H36" i="1"/>
  <c r="H37" i="1"/>
  <c r="H38" i="1"/>
  <c r="H39" i="1"/>
  <c r="H40" i="1"/>
  <c r="H43" i="1"/>
  <c r="H44" i="1"/>
  <c r="H45" i="1"/>
  <c r="I20" i="1"/>
  <c r="I23" i="1"/>
  <c r="I25" i="1"/>
  <c r="I26" i="1"/>
  <c r="I28" i="1"/>
  <c r="I29" i="1"/>
  <c r="I30" i="1"/>
  <c r="I32" i="1"/>
  <c r="I35" i="1"/>
  <c r="I36" i="1"/>
  <c r="I37" i="1"/>
  <c r="I40" i="1"/>
  <c r="I45" i="1"/>
  <c r="F23" i="1"/>
  <c r="F25" i="1"/>
  <c r="F26" i="1"/>
  <c r="F28" i="1"/>
  <c r="F29" i="1"/>
  <c r="F30" i="1"/>
  <c r="F32" i="1"/>
  <c r="F33" i="1"/>
  <c r="F34" i="1"/>
  <c r="F35" i="1"/>
  <c r="F36" i="1"/>
  <c r="F37" i="1"/>
  <c r="F38" i="1"/>
  <c r="F39" i="1"/>
  <c r="F40" i="1"/>
  <c r="F43" i="1"/>
  <c r="F45" i="1"/>
  <c r="G23" i="1"/>
  <c r="G25" i="1"/>
  <c r="G26" i="1"/>
  <c r="G28" i="1"/>
  <c r="G30" i="1"/>
  <c r="G32" i="1"/>
  <c r="G33" i="1"/>
  <c r="G35" i="1"/>
  <c r="G36" i="1"/>
  <c r="G38" i="1"/>
  <c r="G39" i="1"/>
  <c r="G40" i="1"/>
</calcChain>
</file>

<file path=xl/sharedStrings.xml><?xml version="1.0" encoding="utf-8"?>
<sst xmlns="http://schemas.openxmlformats.org/spreadsheetml/2006/main" count="91" uniqueCount="53">
  <si>
    <t>ඇස්තමේන්තුගත මුළු ලැබීම් පළාත් වශයෙන් වෙන් කිරීම</t>
  </si>
  <si>
    <t>අයිතමය</t>
  </si>
  <si>
    <t>මුළු ආදායම</t>
  </si>
  <si>
    <t>N/A</t>
  </si>
  <si>
    <t>පුනරාවර්තන</t>
  </si>
  <si>
    <t>ප්‍රදාන</t>
  </si>
  <si>
    <t xml:space="preserve">  පළාත් නිශ්චිත සංවර්ධන ප්‍රදාන</t>
  </si>
  <si>
    <t xml:space="preserve">  විශේෂ ව්‍යාපෘතිය යටතේ ප්‍රදාන</t>
  </si>
  <si>
    <t xml:space="preserve">  ලෝක බැංකු ආධාර</t>
  </si>
  <si>
    <t xml:space="preserve">  අපේක්ෂිත රජයේ ප්‍රදානය</t>
  </si>
  <si>
    <t>නිර්ණායක පදනම් කරගත් ප්‍රදාන</t>
  </si>
  <si>
    <t>ළඟම පාසල යටතේ ප්‍රදාන යනු හොඳම පාසල් ව්‍යාපෘතියයි</t>
  </si>
  <si>
    <t>මුළුඑකතුව</t>
  </si>
  <si>
    <t>ඇස්තමේන්තුගත මුළු වියදම පළාත් වශයෙන් වෙන් කිරීම</t>
  </si>
  <si>
    <t>වර්ගය</t>
  </si>
  <si>
    <t>ප්‍රාග්ධන</t>
  </si>
  <si>
    <t>ආණ්ඩුකාර</t>
  </si>
  <si>
    <t>බස්නාහිර පළාත් සභාව</t>
  </si>
  <si>
    <t>පළාත් රාජ්‍ය සේවා කොමිෂන් සභාව</t>
  </si>
  <si>
    <t>-</t>
  </si>
  <si>
    <t>පළාත් සමුපකාර සේවක කොමිෂන් සභාව</t>
  </si>
  <si>
    <t>මුදල් හා සැලසුම් ක්‍රියාත්මක කිරීම, නීතිය හා සාමය, ඉඩම්, අධ්‍යාපනය, පළාත් පාලන හා පළාත් පරිපාලනය, විදුලිබල හා බලශක්ති, මිනිස්බල හා රැකියා සඳහා මහ ඇමතිගේ කාර්යාලය</t>
  </si>
  <si>
    <t>පළාත් පාලන, ආර්ථික ප්‍රවර්ධන, විදුලිබල හා බලශක්ති, පරිසර කටයුතු ජලසම්පාදන හා ජලාපවහන සහ සංචාරක කටයුතු අමාත්‍යාංශය</t>
  </si>
  <si>
    <t>සෞඛ්‍ය, දේශීය වෛද්‍ය, සමාජ සුභසාධන, පරිවාස හා ළමා ආරක්ෂණ සේවා, කාන්තා කටයුතු සහ සභා කටයුතු අමාත්‍යාංශය</t>
  </si>
  <si>
    <t>කෘෂිකර්ම, ඉඩම්, වාරිමාර්ග, සත්ව නිෂ්පාදන හා සෞඛ්‍ය හා ගොවිජන සංවර්ධන අමාත්‍යාංශය</t>
  </si>
  <si>
    <t>ධීවර, මාර්ග, ප්‍රවාහන, සමුපකාර සංවර්ධන හා වෙළඳ, නිවාස හා ඉදිකිරීම්, වතු යටිතල පහසුකම්, කර්මාන්ත හා ග්‍රාම සංවර්ධන අමාත්‍යාංශය</t>
  </si>
  <si>
    <t>මාර්ග සංවර්ධන, සත්ව නිෂ්පාදන හා සංවර්ධන, නිවාස හා ඉදිකිරීම්, ධීවර හා සංචාරක අමාත්‍යාංශය</t>
  </si>
  <si>
    <t>ප්‍රවාහන, ක්‍රීඩා, තරුණ කටයුතු, සංස්කෘතික හා කලා, සමුපකාර සංවර්ධන, ආහාර සැපයුම් හා බෙදාහැරීම් සහ ග්‍රාමීය සංවර්ධන අමාත්‍යාංශය</t>
  </si>
  <si>
    <t>සාමාන්‍ය පරිපාලන හා ආයතන සේවා - අමාත්‍යාංශ කාර්යාලය</t>
  </si>
  <si>
    <t>අධ්‍යාපන, සංස්කෘතික හා කලා කටයුතු, ක්‍රීඩා හා යෞවනකටයුතු හා තොරතුරු තාක්ෂණ අමාත්‍යාංශය</t>
  </si>
  <si>
    <t xml:space="preserve">ප්‍රධාන ලේකම්ගේ කාර්යාලය </t>
  </si>
  <si>
    <t>ඉංජිනේරු සංවිධානය</t>
  </si>
  <si>
    <t xml:space="preserve"> ආදායම් දෙපාර්තමේන්තුව</t>
  </si>
  <si>
    <t>පළාත් පාලන දෙපාර්තමේන්තුව</t>
  </si>
  <si>
    <t>සෞඛ්‍ය සේවා දෙපාර්තමේන්තුව</t>
  </si>
  <si>
    <t>ආයුර්වේද දෙපාර්තමේන්තුව</t>
  </si>
  <si>
    <t>සමාජ සේවා දෙපාර්තමේන්තුව</t>
  </si>
  <si>
    <t>පරිවාස හා ළමාරක්ෂක සේවා දෙපාර්තමේන්තුව</t>
  </si>
  <si>
    <t>කෘෂිකර්ම දෙපාර්තමේන්තුව</t>
  </si>
  <si>
    <t>ඉඩම් කොමසාරිස් දෙපාර්තමේන්තුව</t>
  </si>
  <si>
    <t>වාරිමාර්ග දෙපාර්තමේන්තුව</t>
  </si>
  <si>
    <t>සත්ව නිෂ්පාදන හා සෞඛ්‍ය දෙපාර්තමේන්තුව</t>
  </si>
  <si>
    <t>මෝටර් රථ v දෙපාර්තමේන්තුව</t>
  </si>
  <si>
    <t>සමුපකාර සංවර්ධන දෙපාර්තමේන්තුව</t>
  </si>
  <si>
    <t>ව්‍යාපාර නාම රෙජිස්ට්‍රාර් දෙපාර්තමේන්තුව</t>
  </si>
  <si>
    <t>නිවාස කොමසාරිස්</t>
  </si>
  <si>
    <t>කර්මාන්ත දෙපාර්තමේන්තුව</t>
  </si>
  <si>
    <t>අධ්‍යාපන දෙපාර්තමේන්තුව</t>
  </si>
  <si>
    <t>මුළු</t>
  </si>
  <si>
    <t>මුළු එකතුව</t>
  </si>
  <si>
    <t>බටහිර පළාත් සභාව සඳහා ඇස්තමේන්තුගත ලැබීම් සහ වියදම්</t>
  </si>
  <si>
    <t>මූලාශ්‍රය: පළාත් සභා අයවැය</t>
  </si>
  <si>
    <t>ගණන රුපියල් මිලියන වලින්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</si>
</sst>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_-;\-* #,##0.00_-;_-* &quot;-&quot;??_-;_-@_-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Iskoola Pot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</cellStyleXfs>
  <cellXfs count="35">
    <xf numFmtId="0" fontId="0" fillId="0" borderId="0" xfId="0"/>
    <xf numFmtId="164" fontId="0" fillId="0" borderId="0" xfId="0" applyNumberFormat="1"/>
    <xf numFmtId="164" fontId="5" fillId="0" borderId="0" xfId="0" applyNumberFormat="1" applyFont="1" applyFill="1"/>
    <xf numFmtId="164" fontId="6" fillId="0" borderId="0" xfId="0" applyNumberFormat="1" applyFont="1" applyFill="1"/>
    <xf numFmtId="164" fontId="0" fillId="0" borderId="0" xfId="1" applyNumberFormat="1" applyFont="1"/>
    <xf numFmtId="164" fontId="3" fillId="0" borderId="0" xfId="0" applyNumberFormat="1" applyFont="1"/>
    <xf numFmtId="164" fontId="3" fillId="0" borderId="0" xfId="1" applyNumberFormat="1" applyFont="1"/>
    <xf numFmtId="164" fontId="0" fillId="0" borderId="2" xfId="1" applyNumberFormat="1" applyFont="1" applyBorder="1"/>
    <xf numFmtId="164" fontId="3" fillId="0" borderId="2" xfId="1" applyNumberFormat="1" applyFont="1" applyBorder="1"/>
    <xf numFmtId="164" fontId="0" fillId="0" borderId="2" xfId="0" applyNumberFormat="1" applyBorder="1"/>
    <xf numFmtId="164" fontId="0" fillId="0" borderId="0" xfId="0" applyNumberFormat="1" applyFont="1" applyFill="1"/>
    <xf numFmtId="166" fontId="2" fillId="0" borderId="0" xfId="1" applyNumberFormat="1" applyFont="1" applyFill="1"/>
    <xf numFmtId="164" fontId="0" fillId="0" borderId="1" xfId="0" applyNumberFormat="1" applyFont="1" applyFill="1" applyBorder="1"/>
    <xf numFmtId="166" fontId="2" fillId="0" borderId="1" xfId="1" applyNumberFormat="1" applyFont="1" applyFill="1" applyBorder="1"/>
    <xf numFmtId="166" fontId="2" fillId="0" borderId="3" xfId="1" applyNumberFormat="1" applyFont="1" applyFill="1" applyBorder="1"/>
    <xf numFmtId="164" fontId="0" fillId="0" borderId="3" xfId="0" applyNumberFormat="1" applyBorder="1"/>
    <xf numFmtId="166" fontId="7" fillId="0" borderId="1" xfId="1" applyNumberFormat="1" applyFont="1" applyFill="1" applyBorder="1"/>
    <xf numFmtId="164" fontId="0" fillId="0" borderId="1" xfId="0" applyNumberFormat="1" applyBorder="1"/>
    <xf numFmtId="164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Alignment="1">
      <alignment vertical="center" wrapText="1"/>
    </xf>
    <xf numFmtId="166" fontId="10" fillId="0" borderId="1" xfId="1" applyNumberFormat="1" applyFont="1" applyFill="1" applyBorder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3" fillId="0" borderId="1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166" fontId="2" fillId="0" borderId="1" xfId="1" applyNumberFormat="1" applyFont="1" applyFill="1" applyBorder="1" applyAlignment="1">
      <alignment horizontal="center" wrapText="1"/>
    </xf>
  </cellXfs>
  <cellStyles count="10">
    <cellStyle name="Comma" xfId="1" builtinId="3"/>
    <cellStyle name="Comma 2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3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d-sum/ar2004/desktop/My%202003/2003/Ar2002/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ush/Dropbox/New%20Macro%20database/Macro%20Database%202018/Data/2.%20External%20sector_Data%20(Anushan%20Kapilan's%20conflicted%20copy%202018-05-2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Temporary%20Internet%20Files/Content.Outlook/JAM8CDN8/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2)"/>
      <sheetName val="Index"/>
      <sheetName val="Exchange rate, NEER, REER"/>
      <sheetName val="Exchange rate (monthly)"/>
      <sheetName val="Exchange rate (yearly)"/>
      <sheetName val="Exchange rate calculation"/>
      <sheetName val="2.1"/>
      <sheetName val="2.2"/>
      <sheetName val="2.3"/>
      <sheetName val="2.4"/>
      <sheetName val="2.5"/>
      <sheetName val="Export by major markets"/>
      <sheetName val="Import by major markets"/>
      <sheetName val="Fuel imports; type and share"/>
      <sheetName val="FDI inflows"/>
      <sheetName val="FDI sectors"/>
      <sheetName val="FDI countries"/>
      <sheetName val="External debt; annual"/>
      <sheetName val="External debt; composition"/>
      <sheetName val="External debt; ownership"/>
      <sheetName val="Debt sustainability indicators"/>
      <sheetName val="Official reserves"/>
      <sheetName val="Tourist arrivals"/>
      <sheetName val="Foreign employment"/>
      <sheetName val="Residence vis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workbookViewId="0">
      <selection sqref="A1:A1048576"/>
    </sheetView>
  </sheetViews>
  <sheetFormatPr defaultColWidth="9.140625" defaultRowHeight="14.45"/>
  <cols>
    <col min="1" max="1" width="50.42578125" style="1" customWidth="1"/>
    <col min="2" max="2" width="22.85546875" style="1" customWidth="1"/>
    <col min="3" max="3" width="20.7109375" style="1" customWidth="1"/>
    <col min="4" max="4" width="22.85546875" style="1" customWidth="1"/>
    <col min="5" max="5" width="18.42578125" style="1" customWidth="1"/>
    <col min="6" max="6" width="24.28515625" style="1" customWidth="1"/>
    <col min="7" max="7" width="22.140625" style="1" customWidth="1"/>
    <col min="8" max="8" width="19.42578125" style="1" customWidth="1"/>
    <col min="9" max="9" width="20.42578125" style="1" customWidth="1"/>
    <col min="10" max="10" width="18.28515625" style="1" customWidth="1"/>
    <col min="11" max="11" width="19.85546875" style="1" customWidth="1"/>
    <col min="12" max="12" width="17.85546875" style="1" bestFit="1" customWidth="1"/>
    <col min="13" max="13" width="18.85546875" style="1" customWidth="1"/>
    <col min="14" max="14" width="18.42578125" style="1" customWidth="1"/>
    <col min="15" max="15" width="24.85546875" style="1" customWidth="1"/>
    <col min="16" max="16" width="18.42578125" style="1" customWidth="1"/>
    <col min="17" max="17" width="18.28515625" style="1" customWidth="1"/>
    <col min="18" max="18" width="19" style="1" customWidth="1"/>
    <col min="19" max="19" width="18.42578125" style="1" customWidth="1"/>
    <col min="20" max="20" width="20.42578125" style="1" customWidth="1"/>
    <col min="21" max="21" width="18.42578125" style="1" customWidth="1"/>
    <col min="22" max="16384" width="9.140625" style="1"/>
  </cols>
  <sheetData>
    <row r="1" spans="1:30" s="3" customFormat="1" ht="15">
      <c r="A1" s="2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30" ht="15">
      <c r="A2" s="20" t="s">
        <v>1</v>
      </c>
      <c r="B2" s="25">
        <v>2009</v>
      </c>
      <c r="C2" s="25">
        <v>2010</v>
      </c>
      <c r="D2" s="25">
        <v>2011</v>
      </c>
      <c r="E2" s="25">
        <v>2012</v>
      </c>
      <c r="F2" s="25">
        <v>2013</v>
      </c>
      <c r="G2" s="25">
        <v>2014</v>
      </c>
      <c r="H2" s="25">
        <v>2015</v>
      </c>
      <c r="I2" s="25">
        <v>2016</v>
      </c>
      <c r="J2" s="25">
        <v>2017</v>
      </c>
      <c r="K2" s="25">
        <v>2018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1"/>
      <c r="W2" s="31"/>
      <c r="Y2" s="30"/>
      <c r="Z2" s="30"/>
      <c r="AB2" s="31"/>
      <c r="AC2" s="31"/>
    </row>
    <row r="3" spans="1:30" ht="15">
      <c r="A3" s="20" t="s">
        <v>2</v>
      </c>
      <c r="B3" s="13" t="s">
        <v>3</v>
      </c>
      <c r="C3" s="13">
        <v>22715126000</v>
      </c>
      <c r="D3" s="13">
        <v>21532048000</v>
      </c>
      <c r="E3" s="13">
        <v>25378902000</v>
      </c>
      <c r="F3" s="13">
        <v>29617255000</v>
      </c>
      <c r="G3" s="13">
        <v>30952264000</v>
      </c>
      <c r="H3" s="13">
        <v>35390174000</v>
      </c>
      <c r="I3" s="13">
        <v>37859683000</v>
      </c>
      <c r="J3" s="13">
        <v>42260265000</v>
      </c>
      <c r="K3" s="13">
        <v>51416153000</v>
      </c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30" ht="15">
      <c r="A4" s="20" t="s">
        <v>4</v>
      </c>
      <c r="B4" s="13" t="s">
        <v>3</v>
      </c>
      <c r="C4" s="12">
        <v>8669638000</v>
      </c>
      <c r="D4" s="12">
        <v>10159702000</v>
      </c>
      <c r="E4" s="12">
        <v>11550771000</v>
      </c>
      <c r="F4" s="12">
        <v>10572755000</v>
      </c>
      <c r="G4" s="12">
        <v>12755000000</v>
      </c>
      <c r="H4" s="12">
        <v>13122910000</v>
      </c>
      <c r="I4" s="12">
        <v>25843956000</v>
      </c>
      <c r="J4" s="12">
        <v>16516113000</v>
      </c>
      <c r="K4" s="12">
        <v>20229486000</v>
      </c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30" ht="15">
      <c r="A5" s="21" t="s">
        <v>5</v>
      </c>
      <c r="B5" s="13" t="s">
        <v>3</v>
      </c>
      <c r="C5" s="13">
        <v>6304007000</v>
      </c>
      <c r="D5" s="13">
        <v>8409702000</v>
      </c>
      <c r="E5" s="13">
        <v>9133771000</v>
      </c>
      <c r="F5" s="13">
        <v>8501755000</v>
      </c>
      <c r="G5" s="13">
        <v>9000000000</v>
      </c>
      <c r="H5" s="13">
        <v>10000000000</v>
      </c>
      <c r="I5" s="13">
        <v>21743756000</v>
      </c>
      <c r="J5" s="13">
        <v>14866857000</v>
      </c>
      <c r="K5" s="13">
        <v>14261191000</v>
      </c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30" ht="15">
      <c r="A6" s="20" t="s">
        <v>6</v>
      </c>
      <c r="B6" s="13" t="s">
        <v>3</v>
      </c>
      <c r="C6" s="13">
        <v>1448544000</v>
      </c>
      <c r="D6" s="13">
        <v>1300000000</v>
      </c>
      <c r="E6" s="13">
        <v>1840000000</v>
      </c>
      <c r="F6" s="13">
        <v>1266000000</v>
      </c>
      <c r="G6" s="13">
        <v>1270000000</v>
      </c>
      <c r="H6" s="13">
        <v>1452000000</v>
      </c>
      <c r="I6" s="13">
        <v>2894100000</v>
      </c>
      <c r="J6" s="13">
        <v>764856000</v>
      </c>
      <c r="K6" s="13">
        <v>1306095000</v>
      </c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30" ht="15">
      <c r="A7" s="20" t="s">
        <v>7</v>
      </c>
      <c r="B7" s="13" t="s">
        <v>3</v>
      </c>
      <c r="C7" s="13">
        <v>455600000</v>
      </c>
      <c r="D7" s="13">
        <v>0</v>
      </c>
      <c r="E7" s="13">
        <v>0</v>
      </c>
      <c r="F7" s="13">
        <v>435000000</v>
      </c>
      <c r="G7" s="13">
        <v>1510000000</v>
      </c>
      <c r="H7" s="13">
        <v>1145910000</v>
      </c>
      <c r="I7" s="13">
        <v>746100000</v>
      </c>
      <c r="J7" s="13">
        <v>630000000</v>
      </c>
      <c r="K7" s="13">
        <v>407800000</v>
      </c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30" ht="15">
      <c r="A8" s="20" t="s">
        <v>8</v>
      </c>
      <c r="B8" s="13" t="s">
        <v>3</v>
      </c>
      <c r="C8" s="13">
        <v>0</v>
      </c>
      <c r="D8" s="13">
        <v>0</v>
      </c>
      <c r="E8" s="13">
        <v>150000000</v>
      </c>
      <c r="F8" s="13">
        <v>0</v>
      </c>
      <c r="G8" s="13">
        <v>0</v>
      </c>
      <c r="H8" s="13"/>
      <c r="I8" s="13"/>
      <c r="J8" s="13"/>
      <c r="K8" s="13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30" ht="15">
      <c r="A9" s="20" t="s">
        <v>9</v>
      </c>
      <c r="B9" s="13" t="s">
        <v>3</v>
      </c>
      <c r="C9" s="13">
        <v>0</v>
      </c>
      <c r="D9" s="13">
        <v>0</v>
      </c>
      <c r="E9" s="13">
        <v>0</v>
      </c>
      <c r="F9" s="13">
        <v>0</v>
      </c>
      <c r="G9" s="13">
        <v>500000000</v>
      </c>
      <c r="H9" s="13"/>
      <c r="I9" s="13"/>
      <c r="J9" s="13"/>
      <c r="K9" s="13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30" ht="15">
      <c r="A10" s="20" t="s">
        <v>10</v>
      </c>
      <c r="B10" s="13" t="s">
        <v>3</v>
      </c>
      <c r="C10" s="13">
        <v>461487000</v>
      </c>
      <c r="D10" s="13">
        <v>450000000</v>
      </c>
      <c r="E10" s="13">
        <v>427000000</v>
      </c>
      <c r="F10" s="13">
        <v>370000000</v>
      </c>
      <c r="G10" s="13">
        <v>475000000</v>
      </c>
      <c r="H10" s="13">
        <v>525000000</v>
      </c>
      <c r="I10" s="13">
        <v>460000000</v>
      </c>
      <c r="J10" s="13">
        <v>254400000</v>
      </c>
      <c r="K10" s="13">
        <v>254400000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30" ht="15">
      <c r="A11" s="20" t="s">
        <v>11</v>
      </c>
      <c r="B11" s="13" t="s">
        <v>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4000000000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30" ht="15">
      <c r="A12" s="20" t="s">
        <v>12</v>
      </c>
      <c r="B12" s="13" t="s">
        <v>3</v>
      </c>
      <c r="C12" s="12">
        <v>31384764000</v>
      </c>
      <c r="D12" s="12">
        <v>31691750000</v>
      </c>
      <c r="E12" s="12">
        <v>36929673000</v>
      </c>
      <c r="F12" s="12">
        <v>40190010000</v>
      </c>
      <c r="G12" s="12">
        <v>43707264000</v>
      </c>
      <c r="H12" s="12">
        <v>48513084000</v>
      </c>
      <c r="I12" s="12">
        <v>63703639000</v>
      </c>
      <c r="J12" s="12">
        <v>58776378000</v>
      </c>
      <c r="K12" s="12">
        <v>71645639000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30" ht="15">
      <c r="A13" s="2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30" ht="15">
      <c r="A14" s="2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30" ht="15">
      <c r="A15" s="2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30" ht="15">
      <c r="A16" s="20" t="s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Z16" s="4"/>
      <c r="AA16" s="4"/>
      <c r="AC16" s="4"/>
      <c r="AD16" s="4"/>
    </row>
    <row r="17" spans="1:29" ht="15">
      <c r="A17" s="20" t="s">
        <v>1</v>
      </c>
      <c r="B17" s="32">
        <v>2009</v>
      </c>
      <c r="C17" s="32"/>
      <c r="D17" s="32">
        <v>2010</v>
      </c>
      <c r="E17" s="32"/>
      <c r="F17" s="32">
        <v>2011</v>
      </c>
      <c r="G17" s="32"/>
      <c r="H17" s="32">
        <v>2012</v>
      </c>
      <c r="I17" s="32"/>
      <c r="J17" s="32">
        <v>2013</v>
      </c>
      <c r="K17" s="32"/>
      <c r="L17" s="32">
        <v>2014</v>
      </c>
      <c r="M17" s="32"/>
      <c r="N17" s="32">
        <v>2015</v>
      </c>
      <c r="O17" s="32"/>
      <c r="P17" s="32">
        <v>2016</v>
      </c>
      <c r="Q17" s="32"/>
      <c r="R17" s="32">
        <v>2017</v>
      </c>
      <c r="S17" s="32"/>
      <c r="T17" s="32">
        <v>2018</v>
      </c>
      <c r="U17" s="32"/>
      <c r="V17" s="31"/>
      <c r="W17" s="31"/>
      <c r="Y17" s="30"/>
      <c r="Z17" s="30"/>
      <c r="AB17" s="31"/>
      <c r="AC17" s="31"/>
    </row>
    <row r="18" spans="1:29" ht="15">
      <c r="A18" s="20" t="s">
        <v>14</v>
      </c>
      <c r="B18" s="34" t="s">
        <v>4</v>
      </c>
      <c r="C18" s="34" t="s">
        <v>15</v>
      </c>
      <c r="D18" s="34" t="s">
        <v>4</v>
      </c>
      <c r="E18" s="34" t="s">
        <v>15</v>
      </c>
      <c r="F18" s="34" t="s">
        <v>4</v>
      </c>
      <c r="G18" s="34" t="s">
        <v>15</v>
      </c>
      <c r="H18" s="34" t="s">
        <v>4</v>
      </c>
      <c r="I18" s="34" t="s">
        <v>15</v>
      </c>
      <c r="J18" s="34" t="s">
        <v>4</v>
      </c>
      <c r="K18" s="34" t="s">
        <v>15</v>
      </c>
      <c r="L18" s="34" t="s">
        <v>4</v>
      </c>
      <c r="M18" s="34" t="s">
        <v>15</v>
      </c>
      <c r="N18" s="34" t="s">
        <v>4</v>
      </c>
      <c r="O18" s="34" t="s">
        <v>15</v>
      </c>
      <c r="P18" s="34" t="s">
        <v>4</v>
      </c>
      <c r="Q18" s="34" t="s">
        <v>15</v>
      </c>
      <c r="R18" s="34" t="s">
        <v>4</v>
      </c>
      <c r="S18" s="34" t="s">
        <v>15</v>
      </c>
      <c r="T18" s="34" t="s">
        <v>4</v>
      </c>
      <c r="U18" s="34" t="s">
        <v>15</v>
      </c>
      <c r="V18" s="5"/>
      <c r="W18" s="5"/>
      <c r="Y18" s="6"/>
      <c r="Z18" s="6"/>
      <c r="AB18" s="6"/>
      <c r="AC18" s="6"/>
    </row>
    <row r="19" spans="1:29" ht="15">
      <c r="A19" s="20" t="s">
        <v>16</v>
      </c>
      <c r="B19" s="13">
        <v>26014000</v>
      </c>
      <c r="C19" s="16">
        <v>400000</v>
      </c>
      <c r="D19" s="13">
        <v>30413000</v>
      </c>
      <c r="E19" s="13">
        <v>800000</v>
      </c>
      <c r="F19" s="13">
        <v>31658000</v>
      </c>
      <c r="G19" s="13">
        <v>1000000</v>
      </c>
      <c r="H19" s="13">
        <v>35080000</v>
      </c>
      <c r="I19" s="13">
        <v>850000</v>
      </c>
      <c r="J19" s="13">
        <v>61867000</v>
      </c>
      <c r="K19" s="13">
        <v>1035000</v>
      </c>
      <c r="L19" s="13">
        <v>54672000</v>
      </c>
      <c r="M19" s="13">
        <v>800000</v>
      </c>
      <c r="N19" s="13">
        <v>55979000</v>
      </c>
      <c r="O19" s="13">
        <v>56679000</v>
      </c>
      <c r="P19" s="13">
        <v>65046000</v>
      </c>
      <c r="Q19" s="13">
        <v>600000</v>
      </c>
      <c r="R19" s="13">
        <v>64112000</v>
      </c>
      <c r="S19" s="13">
        <v>64812000</v>
      </c>
      <c r="T19" s="13">
        <v>71937000</v>
      </c>
      <c r="U19" s="13">
        <v>148937000</v>
      </c>
      <c r="V19" s="4"/>
      <c r="W19" s="4"/>
      <c r="X19" s="4"/>
      <c r="Y19" s="4"/>
      <c r="Z19" s="4"/>
      <c r="AA19" s="4"/>
      <c r="AB19" s="4"/>
      <c r="AC19" s="4"/>
    </row>
    <row r="20" spans="1:29" ht="15">
      <c r="A20" s="20" t="s">
        <v>17</v>
      </c>
      <c r="B20" s="13">
        <v>23694000</v>
      </c>
      <c r="C20" s="13">
        <v>750000</v>
      </c>
      <c r="D20" s="13">
        <v>212349000</v>
      </c>
      <c r="E20" s="13">
        <v>7100000</v>
      </c>
      <c r="F20" s="13">
        <v>222920000</v>
      </c>
      <c r="G20" s="13">
        <v>1425000</v>
      </c>
      <c r="H20" s="13">
        <f>217149000+34785000</f>
        <v>251934000</v>
      </c>
      <c r="I20" s="13">
        <f>5400000+325000</f>
        <v>5725000</v>
      </c>
      <c r="J20" s="13">
        <f>250131000+40727000</f>
        <v>290858000</v>
      </c>
      <c r="K20" s="13">
        <f>2355000+1350000</f>
        <v>3705000</v>
      </c>
      <c r="L20" s="13">
        <v>336300000</v>
      </c>
      <c r="M20" s="13">
        <v>13800000</v>
      </c>
      <c r="N20" s="13">
        <v>342934000</v>
      </c>
      <c r="O20" s="13">
        <v>345534000</v>
      </c>
      <c r="P20" s="13">
        <f>332443000+69970000</f>
        <v>402413000</v>
      </c>
      <c r="Q20" s="13">
        <f>2300000+300000</f>
        <v>2600000</v>
      </c>
      <c r="R20" s="13">
        <v>412226000</v>
      </c>
      <c r="S20" s="13">
        <v>421526000</v>
      </c>
      <c r="T20" s="13">
        <v>517600000</v>
      </c>
      <c r="U20" s="13">
        <v>525190000</v>
      </c>
      <c r="V20" s="4"/>
      <c r="W20" s="4"/>
      <c r="X20" s="4"/>
      <c r="Y20" s="4"/>
      <c r="Z20" s="4"/>
      <c r="AA20" s="4"/>
      <c r="AB20" s="4"/>
      <c r="AC20" s="4"/>
    </row>
    <row r="21" spans="1:29" ht="15">
      <c r="A21" s="20" t="s">
        <v>18</v>
      </c>
      <c r="B21" s="13" t="s">
        <v>19</v>
      </c>
      <c r="C21" s="13" t="s">
        <v>19</v>
      </c>
      <c r="D21" s="13">
        <v>22475000</v>
      </c>
      <c r="E21" s="13">
        <v>300000</v>
      </c>
      <c r="F21" s="13">
        <v>23574000</v>
      </c>
      <c r="G21" s="13">
        <v>160000</v>
      </c>
      <c r="H21" s="13">
        <f>22633000</f>
        <v>22633000</v>
      </c>
      <c r="I21" s="13">
        <v>200000</v>
      </c>
      <c r="J21" s="13">
        <f>28548000</f>
        <v>28548000</v>
      </c>
      <c r="K21" s="13">
        <v>500000</v>
      </c>
      <c r="L21" s="13">
        <v>30278000</v>
      </c>
      <c r="M21" s="13">
        <v>800000</v>
      </c>
      <c r="N21" s="13">
        <v>31834000</v>
      </c>
      <c r="O21" s="13">
        <v>32584000</v>
      </c>
      <c r="P21" s="13">
        <v>36302000</v>
      </c>
      <c r="Q21" s="13">
        <v>750000</v>
      </c>
      <c r="R21" s="13">
        <v>36303000</v>
      </c>
      <c r="S21" s="13">
        <v>36968000</v>
      </c>
      <c r="T21" s="13">
        <v>37129000</v>
      </c>
      <c r="U21" s="13">
        <v>37709000</v>
      </c>
      <c r="V21" s="4"/>
      <c r="W21" s="4"/>
      <c r="X21" s="4"/>
      <c r="Y21" s="4"/>
      <c r="Z21" s="4"/>
      <c r="AA21" s="4"/>
      <c r="AB21" s="4"/>
      <c r="AC21" s="4"/>
    </row>
    <row r="22" spans="1:29" ht="15">
      <c r="A22" t="s">
        <v>20</v>
      </c>
      <c r="B22" s="13">
        <v>5662000</v>
      </c>
      <c r="C22" s="13">
        <v>75000</v>
      </c>
      <c r="D22" s="13">
        <v>5056000</v>
      </c>
      <c r="E22" s="13">
        <v>50000</v>
      </c>
      <c r="F22" s="13">
        <v>4859000</v>
      </c>
      <c r="G22" s="13">
        <v>130000</v>
      </c>
      <c r="H22" s="13">
        <v>5853000</v>
      </c>
      <c r="I22" s="13">
        <v>90000</v>
      </c>
      <c r="J22" s="13">
        <v>6685000</v>
      </c>
      <c r="K22" s="13">
        <v>250000</v>
      </c>
      <c r="L22" s="13">
        <v>6958000</v>
      </c>
      <c r="M22" s="13">
        <v>220000</v>
      </c>
      <c r="N22" s="13">
        <v>8370000</v>
      </c>
      <c r="O22" s="13">
        <v>8820000</v>
      </c>
      <c r="P22" s="13">
        <v>13071000</v>
      </c>
      <c r="Q22" s="13">
        <v>1050000</v>
      </c>
      <c r="R22" s="13">
        <v>15087000</v>
      </c>
      <c r="S22" s="13">
        <v>15634000</v>
      </c>
      <c r="T22" s="13">
        <v>15944000</v>
      </c>
      <c r="U22" s="13">
        <v>16194000</v>
      </c>
      <c r="V22" s="4"/>
      <c r="W22" s="4"/>
      <c r="X22" s="4"/>
      <c r="Y22" s="4"/>
      <c r="Z22" s="4"/>
      <c r="AA22" s="4"/>
      <c r="AB22" s="4"/>
      <c r="AC22" s="4"/>
    </row>
    <row r="23" spans="1:29" ht="60">
      <c r="A23" s="23" t="s">
        <v>21</v>
      </c>
      <c r="B23" s="13">
        <v>84583000</v>
      </c>
      <c r="C23" s="13">
        <v>1408692000</v>
      </c>
      <c r="D23" s="13">
        <v>96736000</v>
      </c>
      <c r="E23" s="13">
        <v>573620000</v>
      </c>
      <c r="F23" s="13">
        <f>71670000+7400000</f>
        <v>79070000</v>
      </c>
      <c r="G23" s="13">
        <f>275941000+1795000</f>
        <v>277736000</v>
      </c>
      <c r="H23" s="13">
        <f>79140000+8366000</f>
        <v>87506000</v>
      </c>
      <c r="I23" s="13">
        <f>1131550000+100000</f>
        <v>1131650000</v>
      </c>
      <c r="J23" s="13">
        <v>81175000</v>
      </c>
      <c r="K23" s="13">
        <v>1133550000</v>
      </c>
      <c r="L23" s="13">
        <v>127503000</v>
      </c>
      <c r="M23" s="13">
        <v>1147400000</v>
      </c>
      <c r="N23" s="13"/>
      <c r="O23" s="13"/>
      <c r="P23" s="13"/>
      <c r="Q23" s="13"/>
      <c r="R23" s="13"/>
      <c r="S23" s="13"/>
      <c r="T23" s="13"/>
      <c r="U23" s="13"/>
      <c r="V23" s="4"/>
      <c r="W23" s="4"/>
      <c r="X23" s="4"/>
      <c r="Y23" s="4"/>
      <c r="Z23" s="4"/>
      <c r="AA23" s="4"/>
      <c r="AB23" s="4"/>
      <c r="AC23" s="4"/>
    </row>
    <row r="24" spans="1:29" ht="45">
      <c r="A24" s="20" t="s">
        <v>22</v>
      </c>
      <c r="B24" s="13"/>
      <c r="C24" s="13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7">
        <f>508728000+272026000+145731000+60000000+106174000</f>
        <v>1092659000</v>
      </c>
      <c r="O24" s="27">
        <f>1308141000+968800000+375274000+1152978000+653626000</f>
        <v>4458819000</v>
      </c>
      <c r="P24" s="13">
        <f>40064000+94735000</f>
        <v>134799000</v>
      </c>
      <c r="Q24" s="13">
        <f>2500000+494000000</f>
        <v>496500000</v>
      </c>
      <c r="R24" s="13">
        <v>142537000</v>
      </c>
      <c r="S24" s="13">
        <v>575762000</v>
      </c>
      <c r="T24" s="13">
        <v>174816000</v>
      </c>
      <c r="U24" s="13">
        <v>801856000</v>
      </c>
      <c r="V24" s="4"/>
      <c r="W24" s="4"/>
      <c r="X24" s="4"/>
      <c r="Y24" s="4"/>
      <c r="Z24" s="4"/>
      <c r="AA24" s="4"/>
      <c r="AB24" s="4"/>
      <c r="AC24" s="4"/>
    </row>
    <row r="25" spans="1:29" ht="45">
      <c r="A25" s="20" t="s">
        <v>23</v>
      </c>
      <c r="B25" s="13">
        <v>35321000</v>
      </c>
      <c r="C25" s="13">
        <v>858338000</v>
      </c>
      <c r="D25" s="13">
        <v>38028000</v>
      </c>
      <c r="E25" s="13">
        <v>348050000</v>
      </c>
      <c r="F25" s="13">
        <f>12902000+24685000</f>
        <v>37587000</v>
      </c>
      <c r="G25" s="13">
        <f>150000+186946000</f>
        <v>187096000</v>
      </c>
      <c r="H25" s="13">
        <f>15804000+24448000</f>
        <v>40252000</v>
      </c>
      <c r="I25" s="13">
        <f>450000+689745000</f>
        <v>690195000</v>
      </c>
      <c r="J25" s="13">
        <f>17563000+38798000</f>
        <v>56361000</v>
      </c>
      <c r="K25" s="13">
        <f>400000+735100000</f>
        <v>735500000</v>
      </c>
      <c r="L25" s="13">
        <v>57450000</v>
      </c>
      <c r="M25" s="13">
        <v>689525000</v>
      </c>
      <c r="N25" s="27"/>
      <c r="O25" s="27"/>
      <c r="P25" s="13">
        <f>17093000+46511000</f>
        <v>63604000</v>
      </c>
      <c r="Q25" s="13">
        <f>500000+1400900000</f>
        <v>1401400000</v>
      </c>
      <c r="R25" s="13">
        <v>66992000</v>
      </c>
      <c r="S25" s="13">
        <v>848542000</v>
      </c>
      <c r="T25" s="13">
        <v>63874000</v>
      </c>
      <c r="U25" s="13">
        <v>1063824000</v>
      </c>
      <c r="V25" s="4"/>
      <c r="W25" s="4"/>
      <c r="X25" s="4"/>
      <c r="Y25" s="4"/>
      <c r="Z25" s="4"/>
      <c r="AA25" s="4"/>
      <c r="AB25" s="4"/>
      <c r="AC25" s="4"/>
    </row>
    <row r="26" spans="1:29" ht="30">
      <c r="A26" s="20" t="s">
        <v>24</v>
      </c>
      <c r="B26" s="13">
        <v>54717000</v>
      </c>
      <c r="C26" s="13">
        <v>143160000</v>
      </c>
      <c r="D26" s="13">
        <v>49866000</v>
      </c>
      <c r="E26" s="13">
        <v>45000000</v>
      </c>
      <c r="F26" s="13">
        <f>13168000+35166000</f>
        <v>48334000</v>
      </c>
      <c r="G26" s="13">
        <f>1610000+47750000</f>
        <v>49360000</v>
      </c>
      <c r="H26" s="13">
        <f>15968000+32740000</f>
        <v>48708000</v>
      </c>
      <c r="I26" s="13">
        <f>1000000+337700000</f>
        <v>338700000</v>
      </c>
      <c r="J26" s="13">
        <f>19262000+44690000</f>
        <v>63952000</v>
      </c>
      <c r="K26" s="13">
        <f>950000+296000000</f>
        <v>296950000</v>
      </c>
      <c r="L26" s="13">
        <v>67933000</v>
      </c>
      <c r="M26" s="13">
        <v>217450000</v>
      </c>
      <c r="N26" s="27"/>
      <c r="O26" s="27"/>
      <c r="P26" s="13">
        <f>16350000+48033000</f>
        <v>64383000</v>
      </c>
      <c r="Q26" s="13">
        <f>1000000+355400000</f>
        <v>356400000</v>
      </c>
      <c r="R26" s="29">
        <f>69860000+921466000</f>
        <v>991326000</v>
      </c>
      <c r="S26" s="29">
        <f>321610000+1424396000</f>
        <v>1746006000</v>
      </c>
      <c r="T26" s="29">
        <f>67327000+1036394000</f>
        <v>1103721000</v>
      </c>
      <c r="U26" s="29">
        <f>550577000+1707586000</f>
        <v>2258163000</v>
      </c>
      <c r="V26" s="4"/>
      <c r="W26" s="4"/>
      <c r="X26" s="4"/>
      <c r="Y26" s="28"/>
      <c r="Z26" s="28"/>
      <c r="AA26" s="4"/>
      <c r="AB26" s="28"/>
      <c r="AC26" s="28"/>
    </row>
    <row r="27" spans="1:29" ht="45">
      <c r="A27" s="20" t="s">
        <v>25</v>
      </c>
      <c r="B27" s="13" t="s">
        <v>19</v>
      </c>
      <c r="C27" s="13" t="s">
        <v>19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7"/>
      <c r="O27" s="27"/>
      <c r="P27" s="13">
        <f>15148000+832111000+31346000</f>
        <v>878605000</v>
      </c>
      <c r="Q27" s="13">
        <f>700000+514600000+23800000</f>
        <v>539100000</v>
      </c>
      <c r="R27" s="29"/>
      <c r="S27" s="29"/>
      <c r="T27" s="29"/>
      <c r="U27" s="29"/>
      <c r="V27" s="4"/>
      <c r="W27" s="4"/>
      <c r="X27" s="4"/>
      <c r="Y27" s="28"/>
      <c r="Z27" s="28"/>
      <c r="AA27" s="4"/>
      <c r="AB27" s="28"/>
      <c r="AC27" s="28"/>
    </row>
    <row r="28" spans="1:29" ht="30">
      <c r="A28" s="20" t="s">
        <v>26</v>
      </c>
      <c r="B28" s="13">
        <v>744030000</v>
      </c>
      <c r="C28" s="13">
        <v>735860000</v>
      </c>
      <c r="D28" s="13">
        <v>644265000</v>
      </c>
      <c r="E28" s="13">
        <v>738175000</v>
      </c>
      <c r="F28" s="13">
        <f>13617000+628099000</f>
        <v>641716000</v>
      </c>
      <c r="G28" s="13">
        <f>115000+655934000</f>
        <v>656049000</v>
      </c>
      <c r="H28" s="13">
        <f>16684000+511076000</f>
        <v>527760000</v>
      </c>
      <c r="I28" s="13">
        <f>150000+604200000</f>
        <v>604350000</v>
      </c>
      <c r="J28" s="13">
        <f>18413000+716921000</f>
        <v>735334000</v>
      </c>
      <c r="K28" s="13">
        <v>659750000</v>
      </c>
      <c r="L28" s="13">
        <v>575002000</v>
      </c>
      <c r="M28" s="13">
        <v>652050000</v>
      </c>
      <c r="N28" s="27"/>
      <c r="O28" s="27"/>
      <c r="P28" s="13"/>
      <c r="Q28" s="13"/>
      <c r="R28" s="27"/>
      <c r="S28" s="27"/>
      <c r="T28" s="27"/>
      <c r="U28" s="27"/>
      <c r="V28" s="4"/>
      <c r="W28" s="4"/>
      <c r="X28" s="4"/>
      <c r="Y28" s="26"/>
      <c r="Z28" s="26"/>
      <c r="AA28" s="4"/>
      <c r="AB28" s="26"/>
      <c r="AC28" s="26"/>
    </row>
    <row r="29" spans="1:29" ht="45">
      <c r="A29" s="20" t="s">
        <v>27</v>
      </c>
      <c r="B29" s="13">
        <v>202319000</v>
      </c>
      <c r="C29" s="13">
        <v>368135000</v>
      </c>
      <c r="D29" s="13">
        <v>217953000</v>
      </c>
      <c r="E29" s="13">
        <v>33500000</v>
      </c>
      <c r="F29" s="13">
        <f>11447000+136245000</f>
        <v>147692000</v>
      </c>
      <c r="G29" s="13">
        <v>35300000</v>
      </c>
      <c r="H29" s="13">
        <f>14858000+149615000</f>
        <v>164473000</v>
      </c>
      <c r="I29" s="13">
        <f>300000+284500000</f>
        <v>284800000</v>
      </c>
      <c r="J29" s="13">
        <f>18014000+156247000</f>
        <v>174261000</v>
      </c>
      <c r="K29" s="13">
        <f>500000+398500000</f>
        <v>399000000</v>
      </c>
      <c r="L29" s="13">
        <v>291130000</v>
      </c>
      <c r="M29" s="13">
        <v>227600000</v>
      </c>
      <c r="N29" s="27"/>
      <c r="O29" s="27"/>
      <c r="P29" s="13"/>
      <c r="Q29" s="13"/>
      <c r="R29" s="27"/>
      <c r="S29" s="27"/>
      <c r="T29" s="27"/>
      <c r="U29" s="27"/>
      <c r="V29" s="4"/>
      <c r="W29" s="4"/>
      <c r="X29" s="4"/>
      <c r="Y29" s="26"/>
      <c r="Z29" s="26"/>
      <c r="AA29" s="4"/>
      <c r="AB29" s="26"/>
      <c r="AC29" s="26"/>
    </row>
    <row r="30" spans="1:29" ht="30">
      <c r="A30" s="20" t="s">
        <v>28</v>
      </c>
      <c r="B30" s="13" t="s">
        <v>19</v>
      </c>
      <c r="C30" s="13" t="s">
        <v>19</v>
      </c>
      <c r="D30" s="13">
        <v>70117000</v>
      </c>
      <c r="E30" s="13">
        <v>31261000</v>
      </c>
      <c r="F30" s="13">
        <f>17047000+30288000+16914000</f>
        <v>64249000</v>
      </c>
      <c r="G30" s="13">
        <f>20150000+11350000+2250000</f>
        <v>33750000</v>
      </c>
      <c r="H30" s="13">
        <f>25712000+46912000+33935000</f>
        <v>106559000</v>
      </c>
      <c r="I30" s="13">
        <f>25641000+43200000+5500000</f>
        <v>74341000</v>
      </c>
      <c r="J30" s="13">
        <f>26853000+47194000+35415000</f>
        <v>109462000</v>
      </c>
      <c r="K30" s="13">
        <f>14700000+14200000+3650000</f>
        <v>32550000</v>
      </c>
      <c r="L30" s="13">
        <v>0</v>
      </c>
      <c r="M30" s="13">
        <v>0</v>
      </c>
      <c r="N30" s="27"/>
      <c r="O30" s="27"/>
      <c r="P30" s="13"/>
      <c r="Q30" s="13"/>
      <c r="R30" s="27"/>
      <c r="S30" s="27"/>
      <c r="T30" s="27"/>
      <c r="U30" s="27"/>
      <c r="V30" s="4"/>
      <c r="W30" s="4"/>
      <c r="X30" s="4"/>
      <c r="Y30" s="26"/>
      <c r="Z30" s="26"/>
      <c r="AA30" s="4"/>
      <c r="AB30" s="26"/>
      <c r="AC30" s="26"/>
    </row>
    <row r="31" spans="1:29" ht="30">
      <c r="A31" s="20" t="s">
        <v>29</v>
      </c>
      <c r="B31" s="13" t="s">
        <v>19</v>
      </c>
      <c r="C31" s="13" t="s">
        <v>19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/>
      <c r="J31" s="13">
        <v>0</v>
      </c>
      <c r="K31" s="13">
        <v>0</v>
      </c>
      <c r="L31" s="13">
        <v>0</v>
      </c>
      <c r="M31" s="13">
        <v>0</v>
      </c>
      <c r="N31" s="27"/>
      <c r="O31" s="27"/>
      <c r="P31" s="13">
        <f>19060000+85333000+66974000+40067000</f>
        <v>211434000</v>
      </c>
      <c r="Q31" s="13">
        <f>130000+1811922000+20680000+9700000</f>
        <v>1842432000</v>
      </c>
      <c r="R31" s="13">
        <v>220404000</v>
      </c>
      <c r="S31" s="13">
        <v>934002000</v>
      </c>
      <c r="T31" s="13">
        <v>246154000</v>
      </c>
      <c r="U31" s="13">
        <v>982054000</v>
      </c>
      <c r="V31" s="4"/>
      <c r="W31" s="4"/>
      <c r="X31" s="4"/>
      <c r="Y31" s="4"/>
      <c r="Z31" s="4"/>
      <c r="AA31" s="4"/>
      <c r="AB31" s="4"/>
      <c r="AC31" s="4"/>
    </row>
    <row r="32" spans="1:29" ht="15">
      <c r="A32" s="20" t="s">
        <v>30</v>
      </c>
      <c r="B32" s="13">
        <v>603566000</v>
      </c>
      <c r="C32" s="13">
        <v>2497301000</v>
      </c>
      <c r="D32" s="13">
        <v>3838853000</v>
      </c>
      <c r="E32" s="13">
        <v>3838853000</v>
      </c>
      <c r="F32" s="13">
        <f>22227000+3737607000+7500000+65000000+2842000</f>
        <v>3835176000</v>
      </c>
      <c r="G32" s="13">
        <f>1300000+642464000+15000000+275000</f>
        <v>659039000</v>
      </c>
      <c r="H32" s="13">
        <f>27199000+3576290000+9450000+100000000+3015000</f>
        <v>3715954000</v>
      </c>
      <c r="I32" s="13">
        <f>400000+1854100000+100000000+636000</f>
        <v>1955136000</v>
      </c>
      <c r="J32" s="13">
        <f>36383000+4174522000+8450000+125000000+3898000</f>
        <v>4348253000</v>
      </c>
      <c r="K32" s="13">
        <f>1900000+1635700000+150000000+1050000</f>
        <v>1788650000</v>
      </c>
      <c r="L32" s="13">
        <v>4639834000</v>
      </c>
      <c r="M32" s="13">
        <v>1529500000</v>
      </c>
      <c r="N32" s="13">
        <v>5827676000</v>
      </c>
      <c r="O32" s="13">
        <v>7244176000</v>
      </c>
      <c r="P32" s="13">
        <f>11342626000+21000000+150000000</f>
        <v>11513626000</v>
      </c>
      <c r="Q32" s="13">
        <f>986500000+1000000+125000000</f>
        <v>1112500000</v>
      </c>
      <c r="R32" s="13">
        <v>8306413000</v>
      </c>
      <c r="S32" s="13">
        <v>9971169000</v>
      </c>
      <c r="T32" s="13">
        <v>10997599000</v>
      </c>
      <c r="U32" s="13">
        <v>12901094000</v>
      </c>
      <c r="V32" s="4"/>
      <c r="W32" s="4"/>
      <c r="X32" s="4"/>
      <c r="Y32" s="4"/>
      <c r="Z32" s="4"/>
      <c r="AA32" s="4"/>
      <c r="AB32" s="4"/>
      <c r="AC32" s="4"/>
    </row>
    <row r="33" spans="1:29" ht="15">
      <c r="A33" s="20" t="s">
        <v>31</v>
      </c>
      <c r="B33" s="13">
        <v>177770000</v>
      </c>
      <c r="C33" s="13">
        <v>17938000</v>
      </c>
      <c r="D33" s="13">
        <v>172323000</v>
      </c>
      <c r="E33" s="13">
        <v>1910000</v>
      </c>
      <c r="F33" s="13">
        <f>23879000+118894000+25858000</f>
        <v>168631000</v>
      </c>
      <c r="G33" s="13">
        <f>7500000+3500000+11500000</f>
        <v>22500000</v>
      </c>
      <c r="H33" s="13">
        <f>28828000+133323000+28646000</f>
        <v>190797000</v>
      </c>
      <c r="I33" s="13">
        <v>1400000</v>
      </c>
      <c r="J33" s="13">
        <f>38889000+151264000</f>
        <v>190153000</v>
      </c>
      <c r="K33" s="13">
        <f>4450000+400000</f>
        <v>4850000</v>
      </c>
      <c r="L33" s="13">
        <v>205466000</v>
      </c>
      <c r="M33" s="13">
        <v>1008800000</v>
      </c>
      <c r="N33" s="13">
        <v>203420000</v>
      </c>
      <c r="O33" s="13">
        <v>1709420000</v>
      </c>
      <c r="P33" s="13">
        <v>270976000</v>
      </c>
      <c r="Q33" s="13">
        <v>1305000000</v>
      </c>
      <c r="R33" s="13">
        <v>270858000</v>
      </c>
      <c r="S33" s="13">
        <v>2809858000</v>
      </c>
      <c r="T33" s="13">
        <v>276395000</v>
      </c>
      <c r="U33" s="13">
        <v>6279395000</v>
      </c>
      <c r="V33" s="4"/>
      <c r="W33" s="4"/>
      <c r="X33" s="4"/>
      <c r="Y33" s="4"/>
      <c r="Z33" s="4"/>
      <c r="AA33" s="4"/>
      <c r="AB33" s="4"/>
      <c r="AC33" s="4"/>
    </row>
    <row r="34" spans="1:29" ht="15">
      <c r="A34" s="23" t="s">
        <v>32</v>
      </c>
      <c r="B34" s="13">
        <v>149899000</v>
      </c>
      <c r="C34" s="13">
        <v>2591000</v>
      </c>
      <c r="D34" s="13">
        <v>148048000</v>
      </c>
      <c r="E34" s="13">
        <v>50000</v>
      </c>
      <c r="F34" s="13">
        <f>179151000</f>
        <v>179151000</v>
      </c>
      <c r="G34" s="13">
        <v>3500000</v>
      </c>
      <c r="H34" s="13">
        <v>150908000</v>
      </c>
      <c r="I34" s="13">
        <v>400000</v>
      </c>
      <c r="J34" s="13">
        <f>165669000</f>
        <v>165669000</v>
      </c>
      <c r="K34" s="13">
        <v>1709000</v>
      </c>
      <c r="L34" s="13">
        <v>171342000</v>
      </c>
      <c r="M34" s="13">
        <v>3400000</v>
      </c>
      <c r="N34" s="13">
        <v>126572000</v>
      </c>
      <c r="O34" s="13">
        <v>128322000</v>
      </c>
      <c r="P34" s="13">
        <v>211038000</v>
      </c>
      <c r="Q34" s="13">
        <v>3000000</v>
      </c>
      <c r="R34" s="13">
        <v>214328000</v>
      </c>
      <c r="S34" s="13">
        <v>217328000</v>
      </c>
      <c r="T34" s="13">
        <v>221491000</v>
      </c>
      <c r="U34" s="13">
        <v>225591000</v>
      </c>
      <c r="V34" s="4"/>
      <c r="W34" s="4"/>
      <c r="X34" s="4"/>
      <c r="Y34" s="4"/>
      <c r="Z34" s="4"/>
      <c r="AA34" s="4"/>
      <c r="AB34" s="4"/>
      <c r="AC34" s="4"/>
    </row>
    <row r="35" spans="1:29" ht="15">
      <c r="A35" s="20" t="s">
        <v>33</v>
      </c>
      <c r="B35" s="13">
        <v>6761101000</v>
      </c>
      <c r="C35" s="13">
        <v>1375000</v>
      </c>
      <c r="D35" s="13">
        <v>4915555000</v>
      </c>
      <c r="E35" s="13">
        <v>350000</v>
      </c>
      <c r="F35" s="13">
        <f>31221000+33019000+4146075000</f>
        <v>4210315000</v>
      </c>
      <c r="G35" s="13">
        <f>900000+375000</f>
        <v>1275000</v>
      </c>
      <c r="H35" s="13">
        <f>32441000+4563420000</f>
        <v>4595861000</v>
      </c>
      <c r="I35" s="13">
        <f>1200000+2031000</f>
        <v>3231000</v>
      </c>
      <c r="J35" s="13">
        <f>39293000+4819496000</f>
        <v>4858789000</v>
      </c>
      <c r="K35" s="13">
        <f>2250000+1293000</f>
        <v>3543000</v>
      </c>
      <c r="L35" s="13">
        <v>5193554000</v>
      </c>
      <c r="M35" s="13">
        <v>4004000</v>
      </c>
      <c r="N35" s="13">
        <v>5806891000</v>
      </c>
      <c r="O35" s="13">
        <v>5809991000</v>
      </c>
      <c r="P35" s="13">
        <f>50892000+8164017000</f>
        <v>8214909000</v>
      </c>
      <c r="Q35" s="13">
        <f>1900000+700000</f>
        <v>2600000</v>
      </c>
      <c r="R35" s="13">
        <v>8476321000</v>
      </c>
      <c r="S35" s="13">
        <v>8520939000</v>
      </c>
      <c r="T35" s="13">
        <v>8613323000</v>
      </c>
      <c r="U35" s="13">
        <v>8617763000</v>
      </c>
      <c r="V35" s="4"/>
      <c r="W35" s="4"/>
      <c r="X35" s="4"/>
      <c r="Y35" s="4"/>
      <c r="Z35" s="4"/>
      <c r="AA35" s="4"/>
      <c r="AB35" s="4"/>
      <c r="AC35" s="4"/>
    </row>
    <row r="36" spans="1:29" ht="15">
      <c r="A36" s="20" t="s">
        <v>34</v>
      </c>
      <c r="B36" s="13">
        <v>4460904000</v>
      </c>
      <c r="C36" s="13">
        <v>14850000</v>
      </c>
      <c r="D36" s="13">
        <v>4645734000</v>
      </c>
      <c r="E36" s="13">
        <v>28200000</v>
      </c>
      <c r="F36" s="13">
        <f>177370000+4146695000+858110000</f>
        <v>5182175000</v>
      </c>
      <c r="G36" s="13">
        <f>5800000+43800000+9000000</f>
        <v>58600000</v>
      </c>
      <c r="H36" s="13">
        <f>183713000+4450275000+931954000</f>
        <v>5565942000</v>
      </c>
      <c r="I36" s="13">
        <f>3530000+20000000+6000000</f>
        <v>29530000</v>
      </c>
      <c r="J36" s="13">
        <f>211916000+5069560000+1085598000</f>
        <v>6367074000</v>
      </c>
      <c r="K36" s="13">
        <v>16000000</v>
      </c>
      <c r="L36" s="13">
        <v>7415355000</v>
      </c>
      <c r="M36" s="13">
        <v>58000000</v>
      </c>
      <c r="N36" s="13">
        <v>8953638000</v>
      </c>
      <c r="O36" s="13">
        <v>8978638000</v>
      </c>
      <c r="P36" s="13">
        <f>308495000+8540096000+1812118000</f>
        <v>10660709000</v>
      </c>
      <c r="Q36" s="13">
        <f>4500000+16000000+4000000</f>
        <v>24500000</v>
      </c>
      <c r="R36" s="13">
        <v>10759946000</v>
      </c>
      <c r="S36" s="13">
        <v>10788446000</v>
      </c>
      <c r="T36" s="13">
        <v>11803515000</v>
      </c>
      <c r="U36" s="13">
        <v>11834515000</v>
      </c>
      <c r="V36" s="4"/>
      <c r="W36" s="4"/>
      <c r="X36" s="4"/>
      <c r="Y36" s="4"/>
      <c r="Z36" s="4"/>
      <c r="AA36" s="4"/>
      <c r="AB36" s="4"/>
      <c r="AC36" s="4"/>
    </row>
    <row r="37" spans="1:29" ht="15">
      <c r="A37" s="20" t="s">
        <v>35</v>
      </c>
      <c r="B37" s="13">
        <v>178993000</v>
      </c>
      <c r="C37" s="13">
        <v>1080000</v>
      </c>
      <c r="D37" s="13">
        <v>196419000</v>
      </c>
      <c r="E37" s="13">
        <v>14000000</v>
      </c>
      <c r="F37" s="13">
        <f>14959000+175905000+21657000</f>
        <v>212521000</v>
      </c>
      <c r="G37" s="13">
        <v>1000000</v>
      </c>
      <c r="H37" s="13">
        <f>16205000+195916000+36671000</f>
        <v>248792000</v>
      </c>
      <c r="I37" s="13">
        <f>300000+1000000+400000</f>
        <v>1700000</v>
      </c>
      <c r="J37" s="13">
        <f>17579000+234083000+39028000</f>
        <v>290690000</v>
      </c>
      <c r="K37" s="13">
        <f>1050000+575000</f>
        <v>1625000</v>
      </c>
      <c r="L37" s="13">
        <v>299442000</v>
      </c>
      <c r="M37" s="13">
        <v>3675000</v>
      </c>
      <c r="N37" s="13">
        <v>349645000</v>
      </c>
      <c r="O37" s="13">
        <v>353295000</v>
      </c>
      <c r="P37" s="13">
        <f>62049000+361714000+44829000</f>
        <v>468592000</v>
      </c>
      <c r="Q37" s="13">
        <f>450000+1950000+850000</f>
        <v>3250000</v>
      </c>
      <c r="R37" s="13">
        <v>484497000</v>
      </c>
      <c r="S37" s="13">
        <v>492997000</v>
      </c>
      <c r="T37" s="13">
        <v>523417000</v>
      </c>
      <c r="U37" s="13">
        <v>528617000</v>
      </c>
      <c r="V37" s="4"/>
      <c r="W37" s="4"/>
      <c r="X37" s="4"/>
      <c r="Y37" s="4"/>
      <c r="Z37" s="4"/>
      <c r="AA37" s="4"/>
      <c r="AB37" s="4"/>
      <c r="AC37" s="4"/>
    </row>
    <row r="38" spans="1:29" ht="15">
      <c r="A38" s="23" t="s">
        <v>36</v>
      </c>
      <c r="B38" s="13">
        <v>993357000</v>
      </c>
      <c r="C38" s="13">
        <v>1000000</v>
      </c>
      <c r="D38" s="13">
        <v>570508000</v>
      </c>
      <c r="E38" s="13">
        <v>700000</v>
      </c>
      <c r="F38" s="13">
        <f>12577000+563166000</f>
        <v>575743000</v>
      </c>
      <c r="G38" s="13">
        <f>50000+785000</f>
        <v>835000</v>
      </c>
      <c r="H38" s="13">
        <f>15383000+357508000</f>
        <v>372891000</v>
      </c>
      <c r="I38" s="13">
        <v>400000</v>
      </c>
      <c r="J38" s="13">
        <f>17069000+366803000</f>
        <v>383872000</v>
      </c>
      <c r="K38" s="13">
        <v>4400000</v>
      </c>
      <c r="L38" s="13">
        <v>401246000</v>
      </c>
      <c r="M38" s="13">
        <v>5700000</v>
      </c>
      <c r="N38" s="13">
        <v>437900000</v>
      </c>
      <c r="O38" s="13">
        <v>441000000</v>
      </c>
      <c r="P38" s="13">
        <f>26879000+435210000</f>
        <v>462089000</v>
      </c>
      <c r="Q38" s="13">
        <f>1550000+2900000</f>
        <v>4450000</v>
      </c>
      <c r="R38" s="13">
        <v>469958000</v>
      </c>
      <c r="S38" s="13">
        <v>476217000</v>
      </c>
      <c r="T38" s="13">
        <v>483369000</v>
      </c>
      <c r="U38" s="13">
        <v>488349000</v>
      </c>
      <c r="V38" s="4"/>
      <c r="W38" s="4"/>
      <c r="X38" s="4"/>
      <c r="Y38" s="4"/>
      <c r="Z38" s="4"/>
      <c r="AA38" s="4"/>
      <c r="AB38" s="4"/>
      <c r="AC38" s="4"/>
    </row>
    <row r="39" spans="1:29" ht="15">
      <c r="A39" s="20" t="s">
        <v>37</v>
      </c>
      <c r="B39" s="13">
        <v>140337000</v>
      </c>
      <c r="C39" s="13">
        <v>550000</v>
      </c>
      <c r="D39" s="13">
        <v>124660000</v>
      </c>
      <c r="E39" s="13">
        <v>0</v>
      </c>
      <c r="F39" s="13">
        <f>12218000+118091000</f>
        <v>130309000</v>
      </c>
      <c r="G39" s="13">
        <f>160000+960000</f>
        <v>1120000</v>
      </c>
      <c r="H39" s="13">
        <f>12220000+115741000</f>
        <v>127961000</v>
      </c>
      <c r="I39" s="13">
        <v>850000</v>
      </c>
      <c r="J39" s="13">
        <f>1452500+131297000</f>
        <v>132749500</v>
      </c>
      <c r="K39" s="13">
        <v>1400000</v>
      </c>
      <c r="L39" s="13">
        <v>164764000</v>
      </c>
      <c r="M39" s="13">
        <v>1690000</v>
      </c>
      <c r="N39" s="13">
        <v>174465000</v>
      </c>
      <c r="O39" s="13">
        <v>177515000</v>
      </c>
      <c r="P39" s="13">
        <f>18301000+185489000</f>
        <v>203790000</v>
      </c>
      <c r="Q39" s="13">
        <f>500000+770000</f>
        <v>1270000</v>
      </c>
      <c r="R39" s="13">
        <v>210344000</v>
      </c>
      <c r="S39" s="13">
        <v>212344000</v>
      </c>
      <c r="T39" s="13">
        <v>225303000</v>
      </c>
      <c r="U39" s="13">
        <v>226803000</v>
      </c>
      <c r="V39" s="4"/>
      <c r="W39" s="4"/>
      <c r="X39" s="4"/>
      <c r="Y39" s="4"/>
      <c r="Z39" s="4"/>
      <c r="AA39" s="4"/>
      <c r="AB39" s="4"/>
      <c r="AC39" s="4"/>
    </row>
    <row r="40" spans="1:29" ht="15">
      <c r="A40" s="20" t="s">
        <v>38</v>
      </c>
      <c r="B40" s="13">
        <v>127258000</v>
      </c>
      <c r="C40" s="13">
        <v>1250000</v>
      </c>
      <c r="D40" s="13">
        <v>115046000</v>
      </c>
      <c r="E40" s="13">
        <v>2500000</v>
      </c>
      <c r="F40" s="13">
        <f>14880000+55426000+52132000</f>
        <v>122438000</v>
      </c>
      <c r="G40" s="13">
        <f>140000+280000+592000</f>
        <v>1012000</v>
      </c>
      <c r="H40" s="13">
        <f>15575000+62300000+54558000</f>
        <v>132433000</v>
      </c>
      <c r="I40" s="13">
        <f>575000+3800000+2700000</f>
        <v>7075000</v>
      </c>
      <c r="J40" s="13">
        <f>24284000+67754000+50649000</f>
        <v>142687000</v>
      </c>
      <c r="K40" s="13">
        <v>3600000</v>
      </c>
      <c r="L40" s="13">
        <v>216388000</v>
      </c>
      <c r="M40" s="13">
        <v>29400000</v>
      </c>
      <c r="N40" s="13">
        <v>226027000</v>
      </c>
      <c r="O40" s="13">
        <v>251127000</v>
      </c>
      <c r="P40" s="13">
        <f>39184000+164789000+107018000</f>
        <v>310991000</v>
      </c>
      <c r="Q40" s="13">
        <f>1000000+12500000+25000000</f>
        <v>38500000</v>
      </c>
      <c r="R40" s="13">
        <v>318530000</v>
      </c>
      <c r="S40" s="13">
        <v>412330000</v>
      </c>
      <c r="T40" s="13">
        <v>319375000</v>
      </c>
      <c r="U40" s="13">
        <v>381125000</v>
      </c>
      <c r="V40" s="4"/>
      <c r="W40" s="4"/>
      <c r="X40" s="4"/>
      <c r="Y40" s="4"/>
      <c r="Z40" s="4"/>
      <c r="AA40" s="4"/>
      <c r="AB40" s="4"/>
      <c r="AC40" s="4"/>
    </row>
    <row r="41" spans="1:29" ht="15">
      <c r="A41" s="20" t="s">
        <v>39</v>
      </c>
      <c r="B41" s="13">
        <v>40001000</v>
      </c>
      <c r="C41" s="13">
        <v>2900000</v>
      </c>
      <c r="D41" s="13">
        <v>37116000</v>
      </c>
      <c r="E41" s="13">
        <v>0</v>
      </c>
      <c r="F41" s="13">
        <v>37667000</v>
      </c>
      <c r="G41" s="13">
        <v>298000</v>
      </c>
      <c r="H41" s="13">
        <v>41283000</v>
      </c>
      <c r="I41" s="13">
        <v>50000</v>
      </c>
      <c r="J41" s="13">
        <v>47818000</v>
      </c>
      <c r="K41" s="13">
        <v>170000</v>
      </c>
      <c r="L41" s="13">
        <v>49609000</v>
      </c>
      <c r="M41" s="13">
        <v>400000</v>
      </c>
      <c r="N41" s="13">
        <v>52775000</v>
      </c>
      <c r="O41" s="13">
        <v>53225000</v>
      </c>
      <c r="P41" s="13">
        <v>63596000</v>
      </c>
      <c r="Q41" s="13">
        <v>300000</v>
      </c>
      <c r="R41" s="13">
        <v>65671000</v>
      </c>
      <c r="S41" s="13">
        <v>66952000</v>
      </c>
      <c r="T41" s="13">
        <v>62021000</v>
      </c>
      <c r="U41" s="13">
        <v>62646000</v>
      </c>
      <c r="V41" s="4"/>
      <c r="W41" s="4"/>
      <c r="X41" s="4"/>
      <c r="Y41" s="4"/>
      <c r="Z41" s="4"/>
      <c r="AA41" s="4"/>
      <c r="AB41" s="4"/>
      <c r="AC41" s="4"/>
    </row>
    <row r="42" spans="1:29" ht="15">
      <c r="A42" s="20" t="s">
        <v>40</v>
      </c>
      <c r="B42" s="13" t="s">
        <v>19</v>
      </c>
      <c r="C42" s="13" t="s">
        <v>19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41484000</v>
      </c>
      <c r="K42" s="13">
        <v>750000</v>
      </c>
      <c r="L42" s="13">
        <v>31190000</v>
      </c>
      <c r="M42" s="13">
        <v>3000000</v>
      </c>
      <c r="N42" s="13">
        <v>42086000</v>
      </c>
      <c r="O42" s="13">
        <v>42886000</v>
      </c>
      <c r="P42" s="13">
        <v>49137000</v>
      </c>
      <c r="Q42" s="13">
        <v>1100000</v>
      </c>
      <c r="R42" s="13">
        <v>48920000</v>
      </c>
      <c r="S42" s="13">
        <v>49930000</v>
      </c>
      <c r="T42" s="13">
        <v>44817000</v>
      </c>
      <c r="U42" s="13">
        <v>46717000</v>
      </c>
      <c r="V42" s="4"/>
      <c r="W42" s="4"/>
      <c r="X42" s="4"/>
      <c r="Y42" s="4"/>
      <c r="Z42" s="4"/>
      <c r="AA42" s="4"/>
      <c r="AB42" s="4"/>
      <c r="AC42" s="4"/>
    </row>
    <row r="43" spans="1:29" ht="15">
      <c r="A43" s="20" t="s">
        <v>41</v>
      </c>
      <c r="B43" s="13">
        <v>129337000</v>
      </c>
      <c r="C43" s="13">
        <v>1865000</v>
      </c>
      <c r="D43" s="13">
        <v>132929000</v>
      </c>
      <c r="E43" s="13">
        <v>4275000</v>
      </c>
      <c r="F43" s="13">
        <f>15291000+97472000+5380000+13798000</f>
        <v>131941000</v>
      </c>
      <c r="G43" s="13">
        <v>1700000</v>
      </c>
      <c r="H43" s="13">
        <f>134010000+15049000</f>
        <v>149059000</v>
      </c>
      <c r="I43" s="13">
        <v>600000</v>
      </c>
      <c r="J43" s="13">
        <f>147238000+16884000</f>
        <v>164122000</v>
      </c>
      <c r="K43" s="13">
        <v>500000</v>
      </c>
      <c r="L43" s="13">
        <v>174651000</v>
      </c>
      <c r="M43" s="13">
        <v>975000</v>
      </c>
      <c r="N43" s="13">
        <v>190723000</v>
      </c>
      <c r="O43" s="13">
        <v>191623000</v>
      </c>
      <c r="P43" s="13">
        <f>237997000+26191000</f>
        <v>264188000</v>
      </c>
      <c r="Q43" s="13">
        <v>647000</v>
      </c>
      <c r="R43" s="13">
        <v>280735000</v>
      </c>
      <c r="S43" s="13">
        <v>281835000</v>
      </c>
      <c r="T43" s="13">
        <v>315508000</v>
      </c>
      <c r="U43" s="13">
        <v>318061000</v>
      </c>
      <c r="V43" s="4"/>
      <c r="W43" s="4"/>
      <c r="X43" s="4"/>
      <c r="Y43" s="4"/>
      <c r="Z43" s="4"/>
      <c r="AA43" s="4"/>
      <c r="AB43" s="4"/>
      <c r="AC43" s="4"/>
    </row>
    <row r="44" spans="1:29" ht="15">
      <c r="A44" s="20" t="s">
        <v>42</v>
      </c>
      <c r="B44" s="13">
        <v>44380000</v>
      </c>
      <c r="C44" s="13">
        <v>4000000</v>
      </c>
      <c r="D44" s="13">
        <v>45392000</v>
      </c>
      <c r="E44" s="13">
        <v>2000000</v>
      </c>
      <c r="F44" s="13">
        <v>47519000</v>
      </c>
      <c r="G44" s="13">
        <v>9500000</v>
      </c>
      <c r="H44" s="13">
        <f>51787000</f>
        <v>51787000</v>
      </c>
      <c r="I44" s="13">
        <v>6000000</v>
      </c>
      <c r="J44" s="13">
        <v>59493000</v>
      </c>
      <c r="K44" s="13">
        <v>4500000</v>
      </c>
      <c r="L44" s="13">
        <v>66311000</v>
      </c>
      <c r="M44" s="13">
        <v>6300000</v>
      </c>
      <c r="N44" s="13">
        <v>75136000</v>
      </c>
      <c r="O44" s="13">
        <v>79436000</v>
      </c>
      <c r="P44" s="13">
        <v>92417000</v>
      </c>
      <c r="Q44" s="13">
        <v>6400000</v>
      </c>
      <c r="R44" s="13">
        <v>91638000</v>
      </c>
      <c r="S44" s="13">
        <v>101108000</v>
      </c>
      <c r="T44" s="13">
        <v>93528000</v>
      </c>
      <c r="U44" s="13">
        <v>104108000</v>
      </c>
      <c r="V44" s="4"/>
      <c r="W44" s="4"/>
      <c r="X44" s="4"/>
      <c r="Y44" s="4"/>
      <c r="Z44" s="4"/>
      <c r="AA44" s="4"/>
      <c r="AB44" s="4"/>
      <c r="AC44" s="4"/>
    </row>
    <row r="45" spans="1:29" ht="15">
      <c r="A45" s="20" t="s">
        <v>43</v>
      </c>
      <c r="B45" s="13">
        <v>105031000</v>
      </c>
      <c r="C45" s="13">
        <v>550000</v>
      </c>
      <c r="D45" s="13">
        <v>91122000</v>
      </c>
      <c r="E45" s="13">
        <v>400000</v>
      </c>
      <c r="F45" s="13">
        <f>14862000+82736000</f>
        <v>97598000</v>
      </c>
      <c r="G45" s="13">
        <v>800000</v>
      </c>
      <c r="H45" s="13">
        <f>19206000+96862000</f>
        <v>116068000</v>
      </c>
      <c r="I45" s="13">
        <f>2450000</f>
        <v>2450000</v>
      </c>
      <c r="J45" s="13">
        <f>23877000+103730000</f>
        <v>127607000</v>
      </c>
      <c r="K45" s="13">
        <v>1150000</v>
      </c>
      <c r="L45" s="13">
        <v>139649000</v>
      </c>
      <c r="M45" s="13">
        <v>1800000</v>
      </c>
      <c r="N45" s="13">
        <v>143538000</v>
      </c>
      <c r="O45" s="13">
        <v>144638000</v>
      </c>
      <c r="P45" s="13">
        <f>50648000+154060000</f>
        <v>204708000</v>
      </c>
      <c r="Q45" s="13">
        <f>500000+1500000</f>
        <v>2000000</v>
      </c>
      <c r="R45" s="13">
        <v>195653000</v>
      </c>
      <c r="S45" s="13">
        <v>198134000</v>
      </c>
      <c r="T45" s="13">
        <v>192632000</v>
      </c>
      <c r="U45" s="13">
        <v>194910000</v>
      </c>
      <c r="V45" s="4"/>
      <c r="W45" s="4"/>
      <c r="X45" s="4"/>
      <c r="Y45" s="4"/>
      <c r="Z45" s="4"/>
      <c r="AA45" s="4"/>
      <c r="AB45" s="4"/>
      <c r="AC45" s="4"/>
    </row>
    <row r="46" spans="1:29" ht="15">
      <c r="A46" s="20" t="s">
        <v>44</v>
      </c>
      <c r="B46" s="13">
        <v>6164000</v>
      </c>
      <c r="C46" s="13">
        <v>300000</v>
      </c>
      <c r="D46" s="13">
        <v>8543000</v>
      </c>
      <c r="E46" s="13">
        <v>50000</v>
      </c>
      <c r="F46" s="13">
        <v>7782000</v>
      </c>
      <c r="G46" s="13">
        <v>480000</v>
      </c>
      <c r="H46" s="13">
        <v>9187000</v>
      </c>
      <c r="I46" s="13">
        <v>300000</v>
      </c>
      <c r="J46" s="13">
        <v>11533000</v>
      </c>
      <c r="K46" s="13">
        <v>750000</v>
      </c>
      <c r="L46" s="13">
        <v>11569000</v>
      </c>
      <c r="M46" s="13">
        <v>500000</v>
      </c>
      <c r="N46" s="13">
        <v>11752000</v>
      </c>
      <c r="O46" s="13">
        <v>12452000</v>
      </c>
      <c r="P46" s="13">
        <v>14070000</v>
      </c>
      <c r="Q46" s="13">
        <v>700000</v>
      </c>
      <c r="R46" s="13">
        <v>15733000</v>
      </c>
      <c r="S46" s="13">
        <v>16448000</v>
      </c>
      <c r="T46" s="13">
        <v>17195000</v>
      </c>
      <c r="U46" s="13">
        <v>17945000</v>
      </c>
      <c r="V46" s="4"/>
      <c r="W46" s="4"/>
      <c r="X46" s="4"/>
      <c r="Y46" s="4"/>
      <c r="Z46" s="4"/>
      <c r="AA46" s="4"/>
      <c r="AB46" s="4"/>
      <c r="AC46" s="4"/>
    </row>
    <row r="47" spans="1:29" ht="15">
      <c r="A47" s="20" t="s">
        <v>45</v>
      </c>
      <c r="B47" s="13">
        <v>3888000</v>
      </c>
      <c r="C47" s="13">
        <v>5050000</v>
      </c>
      <c r="D47" s="13">
        <v>4327000</v>
      </c>
      <c r="E47" s="13">
        <v>50000</v>
      </c>
      <c r="F47" s="13">
        <v>5691000</v>
      </c>
      <c r="G47" s="13">
        <v>240000</v>
      </c>
      <c r="H47" s="13">
        <v>5510000</v>
      </c>
      <c r="I47" s="13">
        <v>100000</v>
      </c>
      <c r="J47" s="13">
        <v>6321000</v>
      </c>
      <c r="K47" s="13">
        <v>100000</v>
      </c>
      <c r="L47" s="13">
        <v>5072000</v>
      </c>
      <c r="M47" s="13">
        <v>150000</v>
      </c>
      <c r="N47" s="13">
        <v>6666000</v>
      </c>
      <c r="O47" s="13">
        <v>6856000</v>
      </c>
      <c r="P47" s="13">
        <v>10050000</v>
      </c>
      <c r="Q47" s="13">
        <v>740000</v>
      </c>
      <c r="R47" s="13">
        <v>10432000</v>
      </c>
      <c r="S47" s="13">
        <v>11432000</v>
      </c>
      <c r="T47" s="13">
        <v>11190000</v>
      </c>
      <c r="U47" s="13">
        <v>11790000</v>
      </c>
      <c r="V47" s="4"/>
      <c r="W47" s="4"/>
      <c r="X47" s="4"/>
      <c r="Y47" s="4"/>
      <c r="Z47" s="4"/>
      <c r="AA47" s="4"/>
      <c r="AB47" s="4"/>
      <c r="AC47" s="4"/>
    </row>
    <row r="48" spans="1:29" ht="15">
      <c r="A48" s="20" t="s">
        <v>46</v>
      </c>
      <c r="B48" s="13">
        <v>165649000</v>
      </c>
      <c r="C48" s="13">
        <v>6289000</v>
      </c>
      <c r="D48" s="13">
        <v>134054000</v>
      </c>
      <c r="E48" s="13">
        <v>0</v>
      </c>
      <c r="F48" s="17">
        <v>144701000</v>
      </c>
      <c r="G48" s="17">
        <v>5100000</v>
      </c>
      <c r="H48" s="17">
        <v>151079000</v>
      </c>
      <c r="I48" s="13">
        <v>10945000</v>
      </c>
      <c r="J48" s="17">
        <v>156371000</v>
      </c>
      <c r="K48" s="13">
        <v>19125000</v>
      </c>
      <c r="L48" s="13">
        <v>155277000</v>
      </c>
      <c r="M48" s="13">
        <v>29450000</v>
      </c>
      <c r="N48" s="13">
        <v>166759000</v>
      </c>
      <c r="O48" s="13">
        <v>183309000</v>
      </c>
      <c r="P48" s="17">
        <v>239197000</v>
      </c>
      <c r="Q48" s="17">
        <v>3800000</v>
      </c>
      <c r="R48" s="13">
        <v>265090000</v>
      </c>
      <c r="S48" s="13">
        <v>268634000</v>
      </c>
      <c r="T48" s="13">
        <v>264700000</v>
      </c>
      <c r="U48" s="13">
        <v>268000000</v>
      </c>
      <c r="V48" s="4"/>
      <c r="W48" s="4"/>
      <c r="X48" s="4"/>
      <c r="Y48" s="4"/>
      <c r="Z48" s="4"/>
      <c r="AA48" s="4"/>
      <c r="AB48" s="4"/>
      <c r="AC48" s="4"/>
    </row>
    <row r="49" spans="1:30" ht="15">
      <c r="A49" s="20" t="s">
        <v>47</v>
      </c>
      <c r="B49" s="13">
        <v>12154454000</v>
      </c>
      <c r="C49" s="13">
        <v>3000000</v>
      </c>
      <c r="D49" s="13">
        <v>12352567000</v>
      </c>
      <c r="E49" s="13">
        <v>0</v>
      </c>
      <c r="F49" s="17">
        <v>13289428000</v>
      </c>
      <c r="G49" s="13">
        <v>2300000</v>
      </c>
      <c r="H49" s="17">
        <v>14810665000</v>
      </c>
      <c r="I49" s="13">
        <v>2390000</v>
      </c>
      <c r="J49" s="17">
        <v>15944687000</v>
      </c>
      <c r="K49" s="17">
        <v>3450000</v>
      </c>
      <c r="L49" s="13">
        <v>17175280000</v>
      </c>
      <c r="M49" s="13">
        <v>11650000</v>
      </c>
      <c r="N49" s="13">
        <v>17799149000</v>
      </c>
      <c r="O49" s="13">
        <v>17802739000</v>
      </c>
      <c r="P49" s="17">
        <v>25402931000</v>
      </c>
      <c r="Q49" s="17">
        <v>10245000</v>
      </c>
      <c r="R49" s="13">
        <v>21730025000</v>
      </c>
      <c r="S49" s="13">
        <v>21737025000</v>
      </c>
      <c r="T49" s="13">
        <v>23298783000</v>
      </c>
      <c r="U49" s="13">
        <v>23304283000</v>
      </c>
      <c r="V49" s="4"/>
      <c r="W49" s="4"/>
      <c r="X49" s="4"/>
      <c r="Y49" s="4"/>
      <c r="Z49" s="4"/>
      <c r="AA49" s="4"/>
      <c r="AB49" s="4"/>
      <c r="AC49" s="4"/>
    </row>
    <row r="50" spans="1:30" ht="15">
      <c r="A50" s="20" t="s">
        <v>48</v>
      </c>
      <c r="B50" s="13">
        <v>27418429000</v>
      </c>
      <c r="C50" s="13">
        <v>6077299000</v>
      </c>
      <c r="D50" s="17">
        <v>28920454000</v>
      </c>
      <c r="E50" s="17">
        <v>5671194000</v>
      </c>
      <c r="F50" s="17">
        <v>29680445000</v>
      </c>
      <c r="G50" s="17">
        <v>2011305000</v>
      </c>
      <c r="H50" s="17">
        <v>31726935000</v>
      </c>
      <c r="I50" s="17">
        <v>5153458000</v>
      </c>
      <c r="J50" s="17">
        <v>35047875500</v>
      </c>
      <c r="K50" s="17">
        <v>5119062000</v>
      </c>
      <c r="L50" s="17">
        <v>38063225000</v>
      </c>
      <c r="M50" s="17">
        <v>5648039000</v>
      </c>
      <c r="N50" s="17">
        <v>42126594000</v>
      </c>
      <c r="O50" s="17">
        <v>48513084000</v>
      </c>
      <c r="P50" s="17">
        <v>60526671000</v>
      </c>
      <c r="Q50" s="17">
        <v>7161834000</v>
      </c>
      <c r="R50" s="17">
        <v>54164079000</v>
      </c>
      <c r="S50" s="17">
        <v>61276378000</v>
      </c>
      <c r="T50" s="17">
        <v>59995336000</v>
      </c>
      <c r="U50" s="17">
        <v>71645639000</v>
      </c>
      <c r="V50" s="6"/>
      <c r="W50" s="6"/>
      <c r="X50" s="4"/>
      <c r="Y50" s="6"/>
      <c r="Z50" s="6"/>
      <c r="AA50" s="4"/>
      <c r="AB50" s="6"/>
      <c r="AC50" s="6"/>
    </row>
    <row r="51" spans="1:30" s="9" customFormat="1" ht="15">
      <c r="A51" s="20" t="s">
        <v>49</v>
      </c>
      <c r="B51" s="14"/>
      <c r="C51" s="14">
        <v>33495728000</v>
      </c>
      <c r="D51" s="14"/>
      <c r="E51" s="15">
        <v>34591648000</v>
      </c>
      <c r="F51" s="14"/>
      <c r="G51" s="15">
        <v>31691750000</v>
      </c>
      <c r="H51" s="14"/>
      <c r="I51" s="15">
        <v>36880393000</v>
      </c>
      <c r="J51" s="14"/>
      <c r="K51" s="15">
        <v>40166937500</v>
      </c>
      <c r="L51" s="14"/>
      <c r="M51" s="15">
        <v>43711264000</v>
      </c>
      <c r="N51" s="14"/>
      <c r="O51" s="15">
        <v>90639678000</v>
      </c>
      <c r="P51" s="14"/>
      <c r="Q51" s="15">
        <v>67688505000</v>
      </c>
      <c r="R51" s="14"/>
      <c r="S51" s="15">
        <v>115440457000</v>
      </c>
      <c r="T51" s="14"/>
      <c r="U51" s="15">
        <v>131640975000</v>
      </c>
      <c r="V51" s="7"/>
      <c r="W51" s="8"/>
      <c r="X51" s="8"/>
      <c r="Y51" s="7"/>
      <c r="Z51" s="8"/>
      <c r="AA51" s="8"/>
      <c r="AB51" s="7"/>
      <c r="AC51" s="8"/>
      <c r="AD51" s="8"/>
    </row>
    <row r="52" spans="1:30" ht="15">
      <c r="A52" s="24"/>
    </row>
    <row r="53" spans="1:30" ht="29.45" customHeight="1">
      <c r="A53" s="20" t="s">
        <v>50</v>
      </c>
      <c r="B53" s="19"/>
    </row>
    <row r="54" spans="1:30" ht="26.45" customHeight="1">
      <c r="A54" s="20" t="s">
        <v>51</v>
      </c>
      <c r="B54" s="18"/>
    </row>
    <row r="55" spans="1:30" ht="15">
      <c r="A55" s="22" t="s">
        <v>52</v>
      </c>
      <c r="B55" s="18"/>
    </row>
  </sheetData>
  <mergeCells count="29">
    <mergeCell ref="L2:M2"/>
    <mergeCell ref="N2:O2"/>
    <mergeCell ref="P2:Q2"/>
    <mergeCell ref="R2:S2"/>
    <mergeCell ref="V2:W2"/>
    <mergeCell ref="Y2:Z2"/>
    <mergeCell ref="AB2:AC2"/>
    <mergeCell ref="B17:C17"/>
    <mergeCell ref="D17:E17"/>
    <mergeCell ref="F17:G17"/>
    <mergeCell ref="H17:I17"/>
    <mergeCell ref="J17:K17"/>
    <mergeCell ref="L17:M17"/>
    <mergeCell ref="N17:O17"/>
    <mergeCell ref="T2:U2"/>
    <mergeCell ref="P17:Q17"/>
    <mergeCell ref="R17:S17"/>
    <mergeCell ref="T17:U17"/>
    <mergeCell ref="V17:W17"/>
    <mergeCell ref="Y17:Z17"/>
    <mergeCell ref="AB17:AC17"/>
    <mergeCell ref="AB26:AB27"/>
    <mergeCell ref="AC26:AC27"/>
    <mergeCell ref="R26:R27"/>
    <mergeCell ref="S26:S27"/>
    <mergeCell ref="T26:T27"/>
    <mergeCell ref="U26:U27"/>
    <mergeCell ref="Y26:Y27"/>
    <mergeCell ref="Z26:Z27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023f4c2-be17-4265-b935-e0627fd89da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5639F3A6D73A43A8158DFFB5BB52DE" ma:contentTypeVersion="14" ma:contentTypeDescription="Create a new document." ma:contentTypeScope="" ma:versionID="4e56d4563401233985c6bda5dac2bc3b">
  <xsd:schema xmlns:xsd="http://www.w3.org/2001/XMLSchema" xmlns:xs="http://www.w3.org/2001/XMLSchema" xmlns:p="http://schemas.microsoft.com/office/2006/metadata/properties" xmlns:ns2="6023f4c2-be17-4265-b935-e0627fd89da1" xmlns:ns3="b525e57b-a09f-41ba-9e69-9022347623df" targetNamespace="http://schemas.microsoft.com/office/2006/metadata/properties" ma:root="true" ma:fieldsID="fd890ba7ab514807fd0b6fc9856b7285" ns2:_="" ns3:_="">
    <xsd:import namespace="6023f4c2-be17-4265-b935-e0627fd89da1"/>
    <xsd:import namespace="b525e57b-a09f-41ba-9e69-902234762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3f4c2-be17-4265-b935-e0627fd89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5e57b-a09f-41ba-9e69-902234762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83D295-8CC6-4A6C-9023-27E01D1599A4}"/>
</file>

<file path=customXml/itemProps2.xml><?xml version="1.0" encoding="utf-8"?>
<ds:datastoreItem xmlns:ds="http://schemas.openxmlformats.org/officeDocument/2006/customXml" ds:itemID="{49F5F3D2-231D-41AA-B4BE-43F58AD9B767}"/>
</file>

<file path=customXml/itemProps3.xml><?xml version="1.0" encoding="utf-8"?>
<ds:datastoreItem xmlns:ds="http://schemas.openxmlformats.org/officeDocument/2006/customXml" ds:itemID="{08105008-3B75-4382-BEA9-49F407734E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Hishma Sufiyan</cp:lastModifiedBy>
  <cp:revision/>
  <dcterms:created xsi:type="dcterms:W3CDTF">2021-02-12T08:44:08Z</dcterms:created>
  <dcterms:modified xsi:type="dcterms:W3CDTF">2021-08-02T12:34:11Z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0x010100515639F3A6D73A43A8158DFFB5BB52DE</vt:lpwstr>
  </property>
</Properties>
</file>